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8827"/>
  <workbookPr defaultThemeVersion="124226"/>
  <bookViews>
    <workbookView xWindow="0" yWindow="0" windowWidth="22515" windowHeight="7965" activeTab="0"/>
  </bookViews>
  <sheets>
    <sheet name="Sheet1" sheetId="1" r:id="rId1"/>
    <sheet name="Sheet2" sheetId="2" r:id="rId2"/>
    <sheet name="Sheet3" sheetId="3" r:id="rId3"/>
  </sheets>
  <definedNames/>
  <calcPr calcId="171027"/>
</workbook>
</file>

<file path=xl/comments1.xml><?xml version="1.0" encoding="utf-8"?>
<comments xmlns="http://schemas.openxmlformats.org/spreadsheetml/2006/main">
  <authors>
    <author>Devin</author>
  </authors>
  <commentList>
    <comment ref="E19" authorId="0">
      <text>
        <r>
          <rPr>
            <b/>
            <sz val="9"/>
            <rFont val="Tahoma"/>
            <family val="2"/>
          </rPr>
          <t>Cost is $310,000 to generate this for 66 female</t>
        </r>
        <r>
          <rPr>
            <sz val="9"/>
            <rFont val="Tahoma"/>
            <family val="2"/>
          </rPr>
          <t xml:space="preserve">
</t>
        </r>
      </text>
    </comment>
    <comment ref="AJ25" authorId="0">
      <text>
        <r>
          <rPr>
            <b/>
            <sz val="9"/>
            <rFont val="Tahoma"/>
            <family val="2"/>
          </rPr>
          <t>$107527 withdrawal for $100k net. 7% tax</t>
        </r>
        <r>
          <rPr>
            <sz val="9"/>
            <rFont val="Tahoma"/>
            <family val="2"/>
          </rPr>
          <t xml:space="preserve">
</t>
        </r>
      </text>
    </comment>
    <comment ref="AJ26" authorId="0">
      <text>
        <r>
          <rPr>
            <b/>
            <sz val="9"/>
            <rFont val="Tahoma"/>
            <family val="2"/>
          </rPr>
          <t>$117647 with drawal for $100k net (15%)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<sst xmlns="http://schemas.openxmlformats.org/spreadsheetml/2006/main" count="28" uniqueCount="28">
  <si>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Orthodontist Salary</t>
  </si>
  <si>
    <t>Sole Prop</t>
  </si>
  <si>
    <t>Profit Distribution</t>
  </si>
  <si>
    <t>401(k) Contribution</t>
  </si>
  <si>
    <t>Taxable Income</t>
  </si>
  <si>
    <t>Total Taxes Paid</t>
  </si>
  <si>
    <t>Total Household Inflow</t>
  </si>
  <si>
    <t>Total Tax Deferred Savings</t>
  </si>
  <si>
    <t>S corp</t>
  </si>
  <si>
    <t xml:space="preserve">Annual Social Security Received at FRA </t>
  </si>
  <si>
    <t>Social Security Tax</t>
  </si>
  <si>
    <t>Medicare Tax</t>
  </si>
  <si>
    <t>Total Self-Employment Taxes</t>
  </si>
  <si>
    <t>Total Market Foreign</t>
  </si>
  <si>
    <t>allocation</t>
  </si>
  <si>
    <t>Cost</t>
  </si>
  <si>
    <t>weighted</t>
  </si>
  <si>
    <t>Emerging Markets</t>
  </si>
  <si>
    <t>Reits</t>
  </si>
  <si>
    <t>Total Market US</t>
  </si>
  <si>
    <t>Taxable Bonds</t>
  </si>
  <si>
    <t>Difference</t>
  </si>
  <si>
    <t>Column1</t>
  </si>
  <si>
    <t>Column2</t>
  </si>
  <si>
    <t>Income Taxes</t>
  </si>
  <si>
    <t>401(k) Employer Match (13.3%)</t>
  </si>
  <si>
    <t>Employer's Portion of Self-Employement Tax</t>
  </si>
  <si>
    <t>Pass Through Deduction (20% of 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</si>
</sst>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Non-Qualifed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Sheet1!$A$24:$BH$24</c:f>
              <c:numCache/>
            </c:numRef>
          </c:cat>
          <c:val>
            <c:numRef>
              <c:f>Sheet1!$B$25:$BI$25</c:f>
              <c:numCache/>
            </c:numRef>
          </c:val>
          <c:smooth val="0"/>
        </c:ser>
        <c:ser>
          <c:idx val="1"/>
          <c:order val="1"/>
          <c:tx>
            <c:v>401(k)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Sheet1!$A$24:$BH$24</c:f>
              <c:numCache/>
            </c:numRef>
          </c:cat>
          <c:val>
            <c:numRef>
              <c:f>Sheet1!$B$26:$BI$26</c:f>
              <c:numCache/>
            </c:numRef>
          </c:val>
          <c:smooth val="0"/>
        </c:ser>
        <c:axId val="47191815"/>
        <c:axId val="22073152"/>
      </c:lineChart>
      <c:catAx>
        <c:axId val="4719181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22073152"/>
        <c:crosses val="autoZero"/>
        <c:auto val="0"/>
        <c:lblOffset val="100"/>
        <c:tickLblSkip val="5"/>
        <c:tickMarkSkip val="5"/>
        <c:noMultiLvlLbl val="0"/>
      </c:catAx>
      <c:valAx>
        <c:axId val="22073152"/>
        <c:scaling>
          <c:orientation val="minMax"/>
        </c:scaling>
        <c:axPos val="l"/>
        <c:majorGridlines/>
        <c:delete val="0"/>
        <c:numFmt formatCode="&quot;$&quot;#,##0" sourceLinked="1"/>
        <c:majorTickMark val="none"/>
        <c:minorTickMark val="none"/>
        <c:tickLblPos val="nextTo"/>
        <c:crossAx val="47191815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323850</xdr:colOff>
      <xdr:row>29</xdr:row>
      <xdr:rowOff>66675</xdr:rowOff>
    </xdr:from>
    <xdr:to>
      <xdr:col>61</xdr:col>
      <xdr:colOff>257175</xdr:colOff>
      <xdr:row>46</xdr:row>
      <xdr:rowOff>66675</xdr:rowOff>
    </xdr:to>
    <xdr:graphicFrame macro="">
      <xdr:nvGraphicFramePr>
        <xdr:cNvPr id="4" name="Chart 3" title="Years"/>
        <xdr:cNvGraphicFramePr/>
      </xdr:nvGraphicFramePr>
      <xdr:xfrm>
        <a:off x="42376725" y="5591175"/>
        <a:ext cx="5334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3" displayName="Table3" ref="A1:E19" totalsRowShown="0">
  <autoFilter ref="A1:E19"/>
  <tableColumns count="5">
    <tableColumn id="1" name="Column1"/>
    <tableColumn id="2" name="Sole Prop" dataDxfId="1"/>
    <tableColumn id="3" name="Column2"/>
    <tableColumn id="4" name="S corp" dataDxfId="0"/>
    <tableColumn id="5" name="Difference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5"/>
  <sheetViews>
    <sheetView tabSelected="1" workbookViewId="0" topLeftCell="AX20">
      <selection activeCell="BM42" sqref="BM42"/>
    </sheetView>
  </sheetViews>
  <sheetFormatPr defaultColWidth="9.140625" defaultRowHeight="15"/>
  <cols>
    <col min="1" max="1" width="37.140625" style="0" customWidth="1"/>
    <col min="2" max="2" width="11.57421875" style="0" customWidth="1"/>
    <col min="3" max="3" width="11.00390625" style="0" customWidth="1"/>
    <col min="5" max="5" width="12.57421875" style="0" customWidth="1"/>
    <col min="9" max="9" width="10.00390625" style="0" bestFit="1" customWidth="1"/>
    <col min="20" max="20" width="10.140625" style="0" customWidth="1"/>
    <col min="21" max="36" width="12.7109375" style="0" customWidth="1"/>
    <col min="37" max="37" width="10.140625" style="0" bestFit="1" customWidth="1"/>
    <col min="38" max="66" width="11.57421875" style="0" customWidth="1"/>
  </cols>
  <sheetData>
    <row r="1" spans="1:5" ht="15">
      <c r="A1" t="s">
        <v>22</v>
      </c>
      <c r="B1" t="s">
        <v>1</v>
      </c>
      <c r="C1" t="s">
        <v>23</v>
      </c>
      <c r="D1" t="s">
        <v>8</v>
      </c>
      <c r="E1" t="s">
        <v>21</v>
      </c>
    </row>
    <row r="2" spans="1:4" ht="15">
      <c r="A2" t="s">
        <v>0</v>
      </c>
      <c r="B2" s="1">
        <v>275000</v>
      </c>
      <c r="D2" s="1">
        <v>50000</v>
      </c>
    </row>
    <row r="3" spans="1:4" ht="15">
      <c r="A3" t="s">
        <v>2</v>
      </c>
      <c r="D3" s="1">
        <v>225000</v>
      </c>
    </row>
    <row r="4" spans="1:4" ht="15">
      <c r="A4" t="s">
        <v>3</v>
      </c>
      <c r="B4" s="1">
        <v>18500</v>
      </c>
      <c r="D4" s="1">
        <v>18500</v>
      </c>
    </row>
    <row r="5" spans="1:5" ht="15">
      <c r="A5" t="s">
        <v>25</v>
      </c>
      <c r="B5" s="1">
        <v>55000</v>
      </c>
      <c r="D5" s="1">
        <f>0.133*D2</f>
        <v>6650</v>
      </c>
      <c r="E5" s="1">
        <f>B5-D5</f>
        <v>48350</v>
      </c>
    </row>
    <row r="6" spans="1:5" ht="15">
      <c r="A6" t="s">
        <v>26</v>
      </c>
      <c r="B6" s="1">
        <f>B11/2</f>
        <v>12060.8</v>
      </c>
      <c r="D6" s="1">
        <f>D11/2</f>
        <v>3825</v>
      </c>
      <c r="E6" s="1"/>
    </row>
    <row r="7" spans="1:4" ht="15">
      <c r="A7" t="s">
        <v>27</v>
      </c>
      <c r="B7" s="1">
        <f>(B2-B4-B5-B6)*0.2</f>
        <v>37887.840000000004</v>
      </c>
      <c r="D7" s="1">
        <f>(D3-D4-D5-D6)*0.2</f>
        <v>39205</v>
      </c>
    </row>
    <row r="8" spans="1:4" ht="15">
      <c r="A8" t="s">
        <v>4</v>
      </c>
      <c r="B8" s="1">
        <f>B2-B4-B5-B6-B7-24000</f>
        <v>127551.36000000002</v>
      </c>
      <c r="D8" s="1">
        <f>D2+D3-D4-D5-D6-D7-24000</f>
        <v>182820</v>
      </c>
    </row>
    <row r="9" spans="1:5" ht="15">
      <c r="A9" s="2" t="s">
        <v>10</v>
      </c>
      <c r="B9" s="1">
        <f>128400*0.124</f>
        <v>15921.6</v>
      </c>
      <c r="C9" s="1"/>
      <c r="D9" s="1">
        <f>D2*0.124</f>
        <v>6200</v>
      </c>
      <c r="E9" s="1">
        <f>B9-D9</f>
        <v>9721.6</v>
      </c>
    </row>
    <row r="10" spans="1:5" ht="15">
      <c r="A10" s="2" t="s">
        <v>11</v>
      </c>
      <c r="B10" s="1">
        <f>0.029*B2+0.009*25000</f>
        <v>8200</v>
      </c>
      <c r="C10" s="1"/>
      <c r="D10" s="1">
        <f>0.029*D2</f>
        <v>1450</v>
      </c>
      <c r="E10" s="1">
        <f>B10-D10</f>
        <v>6750</v>
      </c>
    </row>
    <row r="11" spans="1:9" ht="15">
      <c r="A11" s="3" t="s">
        <v>12</v>
      </c>
      <c r="B11" s="1">
        <f>B9+B10</f>
        <v>24121.6</v>
      </c>
      <c r="C11" s="1"/>
      <c r="D11" s="1">
        <f>D9+D10</f>
        <v>7650</v>
      </c>
      <c r="E11" s="1">
        <f>B11-D11</f>
        <v>16471.6</v>
      </c>
      <c r="H11" s="1"/>
      <c r="I11" s="4"/>
    </row>
    <row r="12" spans="1:5" ht="15">
      <c r="A12" t="s">
        <v>24</v>
      </c>
      <c r="B12" s="1">
        <f>(B8-77401)*0.22+8907</f>
        <v>19940.079200000004</v>
      </c>
      <c r="D12" s="1">
        <f>(D8-165000)*0.24+28179</f>
        <v>32455.8</v>
      </c>
      <c r="E12" s="1">
        <f>D12-B12</f>
        <v>12515.720799999996</v>
      </c>
    </row>
    <row r="14" spans="1:5" ht="15">
      <c r="A14" t="s">
        <v>5</v>
      </c>
      <c r="B14" s="1">
        <f>B11+B12</f>
        <v>44061.6792</v>
      </c>
      <c r="D14" s="1">
        <f>D11+D12</f>
        <v>40105.8</v>
      </c>
      <c r="E14" s="1">
        <f>B14-D14</f>
        <v>3955.8791999999958</v>
      </c>
    </row>
    <row r="15" spans="1:5" ht="15">
      <c r="A15" t="s">
        <v>7</v>
      </c>
      <c r="B15" s="1">
        <f>B4+B5</f>
        <v>73500</v>
      </c>
      <c r="D15" s="1">
        <f>D4+D5</f>
        <v>25150</v>
      </c>
      <c r="E15" s="1">
        <f>Table3[[#This Row],[Sole Prop]]-Table3[[#This Row],[S corp]]</f>
        <v>48350</v>
      </c>
    </row>
    <row r="16" spans="1:5" ht="15">
      <c r="A16" t="s">
        <v>6</v>
      </c>
      <c r="B16" s="1">
        <f>B2-B14-B15</f>
        <v>157438.3208</v>
      </c>
      <c r="D16" s="1">
        <f>D2+D3-D14-D15</f>
        <v>209744.2</v>
      </c>
      <c r="E16" s="1">
        <f>D16-B16</f>
        <v>52305.879200000025</v>
      </c>
    </row>
    <row r="19" spans="1:5" ht="15">
      <c r="A19" t="s">
        <v>9</v>
      </c>
      <c r="B19" s="1">
        <v>32244</v>
      </c>
      <c r="D19" s="1">
        <v>17100</v>
      </c>
      <c r="E19" s="1">
        <f>B19-D19</f>
        <v>15144</v>
      </c>
    </row>
    <row r="24" spans="1:66" ht="15">
      <c r="A24">
        <v>0</v>
      </c>
      <c r="B24">
        <v>1</v>
      </c>
      <c r="C24">
        <v>2</v>
      </c>
      <c r="D24">
        <v>3</v>
      </c>
      <c r="E24">
        <v>4</v>
      </c>
      <c r="F24">
        <v>5</v>
      </c>
      <c r="G24">
        <v>6</v>
      </c>
      <c r="H24">
        <v>7</v>
      </c>
      <c r="I24">
        <v>8</v>
      </c>
      <c r="J24">
        <v>9</v>
      </c>
      <c r="K24">
        <v>10</v>
      </c>
      <c r="L24">
        <v>11</v>
      </c>
      <c r="M24">
        <v>12</v>
      </c>
      <c r="N24">
        <v>13</v>
      </c>
      <c r="O24">
        <v>14</v>
      </c>
      <c r="P24">
        <v>15</v>
      </c>
      <c r="Q24">
        <v>16</v>
      </c>
      <c r="R24">
        <v>17</v>
      </c>
      <c r="S24">
        <v>18</v>
      </c>
      <c r="T24">
        <v>19</v>
      </c>
      <c r="U24">
        <v>20</v>
      </c>
      <c r="V24">
        <v>21</v>
      </c>
      <c r="W24">
        <v>22</v>
      </c>
      <c r="X24">
        <v>23</v>
      </c>
      <c r="Y24">
        <v>24</v>
      </c>
      <c r="Z24">
        <v>25</v>
      </c>
      <c r="AA24">
        <v>26</v>
      </c>
      <c r="AB24">
        <v>27</v>
      </c>
      <c r="AC24">
        <v>28</v>
      </c>
      <c r="AD24">
        <v>29</v>
      </c>
      <c r="AE24">
        <v>30</v>
      </c>
      <c r="AF24">
        <v>31</v>
      </c>
      <c r="AG24">
        <v>32</v>
      </c>
      <c r="AH24">
        <v>33</v>
      </c>
      <c r="AI24">
        <v>34</v>
      </c>
      <c r="AJ24">
        <v>35</v>
      </c>
      <c r="AK24">
        <v>36</v>
      </c>
      <c r="AL24">
        <v>37</v>
      </c>
      <c r="AM24">
        <v>38</v>
      </c>
      <c r="AN24">
        <v>39</v>
      </c>
      <c r="AO24">
        <v>40</v>
      </c>
      <c r="AP24">
        <v>41</v>
      </c>
      <c r="AQ24">
        <v>42</v>
      </c>
      <c r="AR24">
        <v>43</v>
      </c>
      <c r="AS24">
        <v>44</v>
      </c>
      <c r="AT24">
        <v>45</v>
      </c>
      <c r="AU24">
        <v>46</v>
      </c>
      <c r="AV24">
        <v>47</v>
      </c>
      <c r="AW24">
        <v>48</v>
      </c>
      <c r="AX24">
        <v>49</v>
      </c>
      <c r="AY24">
        <v>50</v>
      </c>
      <c r="AZ24">
        <v>51</v>
      </c>
      <c r="BA24">
        <v>52</v>
      </c>
      <c r="BB24">
        <v>53</v>
      </c>
      <c r="BC24">
        <v>54</v>
      </c>
      <c r="BD24">
        <v>55</v>
      </c>
      <c r="BE24">
        <v>56</v>
      </c>
      <c r="BF24">
        <v>57</v>
      </c>
      <c r="BG24">
        <v>58</v>
      </c>
      <c r="BH24">
        <v>59</v>
      </c>
      <c r="BI24">
        <v>60</v>
      </c>
      <c r="BJ24">
        <v>61</v>
      </c>
      <c r="BK24">
        <v>62</v>
      </c>
      <c r="BL24">
        <v>63</v>
      </c>
      <c r="BM24">
        <v>64</v>
      </c>
      <c r="BN24">
        <v>65</v>
      </c>
    </row>
    <row r="25" spans="2:66" ht="15">
      <c r="B25" s="1">
        <v>52306</v>
      </c>
      <c r="C25" s="1">
        <f>B25*1.055+52306</f>
        <v>107488.82999999999</v>
      </c>
      <c r="D25" s="1">
        <f aca="true" t="shared" si="0" ref="D25:AI25">C25*1.055+52306</f>
        <v>165706.71564999997</v>
      </c>
      <c r="E25" s="1">
        <f t="shared" si="0"/>
        <v>227126.58501074996</v>
      </c>
      <c r="F25" s="1">
        <f t="shared" si="0"/>
        <v>291924.5471863412</v>
      </c>
      <c r="G25" s="1">
        <f t="shared" si="0"/>
        <v>360286.3972815899</v>
      </c>
      <c r="H25" s="1">
        <f t="shared" si="0"/>
        <v>432408.14913207735</v>
      </c>
      <c r="I25" s="1">
        <f t="shared" si="0"/>
        <v>508496.59733434155</v>
      </c>
      <c r="J25" s="1">
        <f t="shared" si="0"/>
        <v>588769.9101877303</v>
      </c>
      <c r="K25" s="1">
        <f t="shared" si="0"/>
        <v>673458.2552480554</v>
      </c>
      <c r="L25" s="1">
        <f t="shared" si="0"/>
        <v>762804.4592866985</v>
      </c>
      <c r="M25" s="1">
        <f t="shared" si="0"/>
        <v>857064.7045474668</v>
      </c>
      <c r="N25" s="1">
        <f t="shared" si="0"/>
        <v>956509.2632975775</v>
      </c>
      <c r="O25" s="1">
        <f t="shared" si="0"/>
        <v>1061423.272778944</v>
      </c>
      <c r="P25" s="1">
        <f t="shared" si="0"/>
        <v>1172107.552781786</v>
      </c>
      <c r="Q25" s="1">
        <f t="shared" si="0"/>
        <v>1288879.4681847843</v>
      </c>
      <c r="R25" s="1">
        <f t="shared" si="0"/>
        <v>1412073.8389349473</v>
      </c>
      <c r="S25" s="1">
        <f t="shared" si="0"/>
        <v>1542043.9000763693</v>
      </c>
      <c r="T25" s="1">
        <f>S25*1.055+52306</f>
        <v>1679162.3145805695</v>
      </c>
      <c r="U25" s="1">
        <f t="shared" si="0"/>
        <v>1823822.2418825007</v>
      </c>
      <c r="V25" s="1">
        <f t="shared" si="0"/>
        <v>1976438.465186038</v>
      </c>
      <c r="W25" s="1">
        <f t="shared" si="0"/>
        <v>2137448.58077127</v>
      </c>
      <c r="X25" s="1">
        <f t="shared" si="0"/>
        <v>2307314.25271369</v>
      </c>
      <c r="Y25" s="1">
        <f t="shared" si="0"/>
        <v>2486522.536612943</v>
      </c>
      <c r="Z25" s="1">
        <f t="shared" si="0"/>
        <v>2675587.2761266544</v>
      </c>
      <c r="AA25" s="1">
        <f t="shared" si="0"/>
        <v>2875050.57631362</v>
      </c>
      <c r="AB25" s="1">
        <f t="shared" si="0"/>
        <v>3085484.358010869</v>
      </c>
      <c r="AC25" s="1">
        <f t="shared" si="0"/>
        <v>3307491.9977014665</v>
      </c>
      <c r="AD25" s="1">
        <f t="shared" si="0"/>
        <v>3541710.057575047</v>
      </c>
      <c r="AE25" s="1">
        <f t="shared" si="0"/>
        <v>3788810.1107416744</v>
      </c>
      <c r="AF25" s="1">
        <f t="shared" si="0"/>
        <v>4049500.666832466</v>
      </c>
      <c r="AG25" s="1">
        <f t="shared" si="0"/>
        <v>4324529.203508251</v>
      </c>
      <c r="AH25" s="1">
        <f t="shared" si="0"/>
        <v>4614684.309701205</v>
      </c>
      <c r="AI25" s="1">
        <f t="shared" si="0"/>
        <v>4920797.946734771</v>
      </c>
      <c r="AJ25" s="1">
        <f>AI25*1.055+52306</f>
        <v>5243747.833805183</v>
      </c>
      <c r="AK25" s="1">
        <f>(AJ25-103092)*1.055</f>
        <v>5423391.904664468</v>
      </c>
      <c r="AL25" s="1">
        <f aca="true" t="shared" si="1" ref="AL25:BN25">(AK25-103092)*1.055</f>
        <v>5612916.399421014</v>
      </c>
      <c r="AM25" s="1">
        <f t="shared" si="1"/>
        <v>5812864.741389169</v>
      </c>
      <c r="AN25" s="1">
        <f t="shared" si="1"/>
        <v>6023810.242165573</v>
      </c>
      <c r="AO25" s="1">
        <f t="shared" si="1"/>
        <v>6246357.745484679</v>
      </c>
      <c r="AP25" s="1">
        <f t="shared" si="1"/>
        <v>6481145.361486336</v>
      </c>
      <c r="AQ25" s="1">
        <f t="shared" si="1"/>
        <v>6728846.296368084</v>
      </c>
      <c r="AR25" s="1">
        <f t="shared" si="1"/>
        <v>6990170.782668328</v>
      </c>
      <c r="AS25" s="1">
        <f t="shared" si="1"/>
        <v>7265868.1157150855</v>
      </c>
      <c r="AT25" s="1">
        <f t="shared" si="1"/>
        <v>7556728.802079415</v>
      </c>
      <c r="AU25" s="1">
        <f t="shared" si="1"/>
        <v>7863586.8261937825</v>
      </c>
      <c r="AV25" s="1">
        <f t="shared" si="1"/>
        <v>8187322.04163444</v>
      </c>
      <c r="AW25" s="1">
        <f t="shared" si="1"/>
        <v>8528862.693924334</v>
      </c>
      <c r="AX25" s="1">
        <f t="shared" si="1"/>
        <v>8889188.082090171</v>
      </c>
      <c r="AY25" s="1">
        <f t="shared" si="1"/>
        <v>9269331.36660513</v>
      </c>
      <c r="AZ25" s="1">
        <f t="shared" si="1"/>
        <v>9670382.531768411</v>
      </c>
      <c r="BA25" s="1">
        <f t="shared" si="1"/>
        <v>10093491.511015674</v>
      </c>
      <c r="BB25" s="1">
        <f t="shared" si="1"/>
        <v>10539871.484121535</v>
      </c>
      <c r="BC25" s="1">
        <f t="shared" si="1"/>
        <v>11010802.35574822</v>
      </c>
      <c r="BD25" s="1">
        <f t="shared" si="1"/>
        <v>11507634.42531437</v>
      </c>
      <c r="BE25" s="1">
        <f t="shared" si="1"/>
        <v>12031792.258706661</v>
      </c>
      <c r="BF25" s="1">
        <f t="shared" si="1"/>
        <v>12584778.772935526</v>
      </c>
      <c r="BG25" s="1">
        <f t="shared" si="1"/>
        <v>13168179.545446979</v>
      </c>
      <c r="BH25" s="1">
        <f t="shared" si="1"/>
        <v>13783667.360446561</v>
      </c>
      <c r="BI25" s="1">
        <f t="shared" si="1"/>
        <v>14433007.005271122</v>
      </c>
      <c r="BJ25" s="1">
        <f t="shared" si="1"/>
        <v>15118060.330561033</v>
      </c>
      <c r="BK25" s="1">
        <f t="shared" si="1"/>
        <v>15840791.58874189</v>
      </c>
      <c r="BL25" s="1">
        <f t="shared" si="1"/>
        <v>16603273.066122692</v>
      </c>
      <c r="BM25" s="1">
        <f t="shared" si="1"/>
        <v>17407691.024759438</v>
      </c>
      <c r="BN25" s="1">
        <f t="shared" si="1"/>
        <v>18256351.971121207</v>
      </c>
    </row>
    <row r="26" spans="2:66" ht="15">
      <c r="B26" s="1">
        <v>48350</v>
      </c>
      <c r="C26" s="1">
        <f>B26*1.065+48350</f>
        <v>99842.75</v>
      </c>
      <c r="D26" s="1">
        <f>C26*1.065+48350</f>
        <v>154682.52875</v>
      </c>
      <c r="E26" s="1">
        <f>D26*1.065+48350</f>
        <v>213086.89311874998</v>
      </c>
      <c r="F26" s="1">
        <f>E26*1.065+48350</f>
        <v>275287.5411714687</v>
      </c>
      <c r="G26" s="1">
        <f aca="true" t="shared" si="2" ref="G26:AI26">F26*1.065+48350</f>
        <v>341531.23134761414</v>
      </c>
      <c r="H26" s="1">
        <f t="shared" si="2"/>
        <v>412080.76138520904</v>
      </c>
      <c r="I26" s="1">
        <f t="shared" si="2"/>
        <v>487216.0108752476</v>
      </c>
      <c r="J26" s="1">
        <f t="shared" si="2"/>
        <v>567235.0515821386</v>
      </c>
      <c r="K26" s="1">
        <f t="shared" si="2"/>
        <v>652455.3299349776</v>
      </c>
      <c r="L26" s="1">
        <f t="shared" si="2"/>
        <v>743214.9263807511</v>
      </c>
      <c r="M26" s="1">
        <f t="shared" si="2"/>
        <v>839873.8965954998</v>
      </c>
      <c r="N26" s="1">
        <f t="shared" si="2"/>
        <v>942815.6998742073</v>
      </c>
      <c r="O26" s="1">
        <f t="shared" si="2"/>
        <v>1052448.7203660307</v>
      </c>
      <c r="P26" s="1">
        <f t="shared" si="2"/>
        <v>1169207.8871898227</v>
      </c>
      <c r="Q26" s="1">
        <f t="shared" si="2"/>
        <v>1293556.399857161</v>
      </c>
      <c r="R26" s="1">
        <f t="shared" si="2"/>
        <v>1425987.5658478765</v>
      </c>
      <c r="S26" s="1">
        <f t="shared" si="2"/>
        <v>1567026.7576279885</v>
      </c>
      <c r="T26" s="1">
        <f t="shared" si="2"/>
        <v>1717233.4968738076</v>
      </c>
      <c r="U26" s="1">
        <f t="shared" si="2"/>
        <v>1877203.6741706051</v>
      </c>
      <c r="V26" s="1">
        <f t="shared" si="2"/>
        <v>2047571.9129916944</v>
      </c>
      <c r="W26" s="1">
        <f t="shared" si="2"/>
        <v>2229014.0873361547</v>
      </c>
      <c r="X26" s="1">
        <f t="shared" si="2"/>
        <v>2422250.0030130045</v>
      </c>
      <c r="Y26" s="1">
        <f t="shared" si="2"/>
        <v>2628046.2532088496</v>
      </c>
      <c r="Z26" s="1">
        <f t="shared" si="2"/>
        <v>2847219.2596674245</v>
      </c>
      <c r="AA26" s="1">
        <f t="shared" si="2"/>
        <v>3080638.511545807</v>
      </c>
      <c r="AB26" s="1">
        <f t="shared" si="2"/>
        <v>3329230.0147962845</v>
      </c>
      <c r="AC26" s="1">
        <f t="shared" si="2"/>
        <v>3593979.965758043</v>
      </c>
      <c r="AD26" s="1">
        <f t="shared" si="2"/>
        <v>3875938.6635323153</v>
      </c>
      <c r="AE26" s="1">
        <f t="shared" si="2"/>
        <v>4176224.6766619156</v>
      </c>
      <c r="AF26" s="1">
        <f t="shared" si="2"/>
        <v>4496029.28064494</v>
      </c>
      <c r="AG26" s="1">
        <f t="shared" si="2"/>
        <v>4836621.183886861</v>
      </c>
      <c r="AH26" s="1">
        <f t="shared" si="2"/>
        <v>5199351.560839507</v>
      </c>
      <c r="AI26" s="1">
        <f t="shared" si="2"/>
        <v>5585659.412294075</v>
      </c>
      <c r="AJ26" s="1">
        <f>AI26*1.065+48350</f>
        <v>5997077.274093189</v>
      </c>
      <c r="AK26" s="1">
        <f>(AJ26-117647)*1.065</f>
        <v>6261593.241909246</v>
      </c>
      <c r="AL26" s="1">
        <f aca="true" t="shared" si="3" ref="AL26:BN26">(AK26-117647)*1.065</f>
        <v>6543302.747633346</v>
      </c>
      <c r="AM26" s="1">
        <f t="shared" si="3"/>
        <v>6843323.371229514</v>
      </c>
      <c r="AN26" s="1">
        <f t="shared" si="3"/>
        <v>7162845.335359432</v>
      </c>
      <c r="AO26" s="1">
        <f t="shared" si="3"/>
        <v>7503136.227157795</v>
      </c>
      <c r="AP26" s="1">
        <f t="shared" si="3"/>
        <v>7865546.026923051</v>
      </c>
      <c r="AQ26" s="1">
        <f t="shared" si="3"/>
        <v>8251512.463673049</v>
      </c>
      <c r="AR26" s="1">
        <f t="shared" si="3"/>
        <v>8662566.718811797</v>
      </c>
      <c r="AS26" s="1">
        <f t="shared" si="3"/>
        <v>9100339.500534564</v>
      </c>
      <c r="AT26" s="1">
        <f t="shared" si="3"/>
        <v>9566567.513069311</v>
      </c>
      <c r="AU26" s="1">
        <f t="shared" si="3"/>
        <v>10063100.346418817</v>
      </c>
      <c r="AV26" s="1">
        <f t="shared" si="3"/>
        <v>10591907.81393604</v>
      </c>
      <c r="AW26" s="1">
        <f t="shared" si="3"/>
        <v>11155087.766841881</v>
      </c>
      <c r="AX26" s="1">
        <f t="shared" si="3"/>
        <v>11754874.416686602</v>
      </c>
      <c r="AY26" s="1">
        <f t="shared" si="3"/>
        <v>12393647.19877123</v>
      </c>
      <c r="AZ26" s="1">
        <f t="shared" si="3"/>
        <v>13073940.21169136</v>
      </c>
      <c r="BA26" s="1">
        <f t="shared" si="3"/>
        <v>13798452.270451298</v>
      </c>
      <c r="BB26" s="1">
        <f t="shared" si="3"/>
        <v>14570057.613030631</v>
      </c>
      <c r="BC26" s="1">
        <f t="shared" si="3"/>
        <v>15391817.302877622</v>
      </c>
      <c r="BD26" s="1">
        <f t="shared" si="3"/>
        <v>16266991.372564666</v>
      </c>
      <c r="BE26" s="1">
        <f t="shared" si="3"/>
        <v>17199051.75678137</v>
      </c>
      <c r="BF26" s="1">
        <f t="shared" si="3"/>
        <v>18191696.065972157</v>
      </c>
      <c r="BG26" s="1">
        <f t="shared" si="3"/>
        <v>19248862.255260345</v>
      </c>
      <c r="BH26" s="1">
        <f t="shared" si="3"/>
        <v>20374744.246852268</v>
      </c>
      <c r="BI26" s="1">
        <f t="shared" si="3"/>
        <v>21573808.567897663</v>
      </c>
      <c r="BJ26" s="1">
        <f t="shared" si="3"/>
        <v>22850812.06981101</v>
      </c>
      <c r="BK26" s="1">
        <f t="shared" si="3"/>
        <v>24210820.799348723</v>
      </c>
      <c r="BL26" s="1">
        <f t="shared" si="3"/>
        <v>25659230.096306387</v>
      </c>
      <c r="BM26" s="1">
        <f t="shared" si="3"/>
        <v>27201785.9975663</v>
      </c>
      <c r="BN26" s="1">
        <f t="shared" si="3"/>
        <v>28844608.03240811</v>
      </c>
    </row>
    <row r="28" spans="36:61" ht="15">
      <c r="AJ28" s="1">
        <f>AJ26-AJ25</f>
        <v>753329.4402880063</v>
      </c>
      <c r="BI28" s="1">
        <f>BI26-BI25</f>
        <v>7140801.562626541</v>
      </c>
    </row>
    <row r="29" spans="2:4" ht="15">
      <c r="B29" t="s">
        <v>14</v>
      </c>
      <c r="C29" t="s">
        <v>15</v>
      </c>
      <c r="D29" t="s">
        <v>16</v>
      </c>
    </row>
    <row r="30" spans="1:4" ht="15">
      <c r="A30" t="s">
        <v>13</v>
      </c>
      <c r="B30">
        <v>0.2</v>
      </c>
      <c r="C30">
        <f>0.33+0.4</f>
        <v>0.73</v>
      </c>
      <c r="D30">
        <f>B30*C30</f>
        <v>0.146</v>
      </c>
    </row>
    <row r="31" spans="1:4" ht="15">
      <c r="A31" t="s">
        <v>17</v>
      </c>
      <c r="B31">
        <v>0.07</v>
      </c>
      <c r="C31">
        <f>0.42+0.4</f>
        <v>0.8200000000000001</v>
      </c>
      <c r="D31">
        <f aca="true" t="shared" si="4" ref="D31:D34">B31*C31</f>
        <v>0.05740000000000001</v>
      </c>
    </row>
    <row r="32" spans="1:4" ht="15">
      <c r="A32" t="s">
        <v>18</v>
      </c>
      <c r="B32">
        <v>0.07</v>
      </c>
      <c r="C32">
        <v>2</v>
      </c>
      <c r="D32">
        <f t="shared" si="4"/>
        <v>0.14</v>
      </c>
    </row>
    <row r="33" spans="1:4" ht="15">
      <c r="A33" t="s">
        <v>19</v>
      </c>
      <c r="B33">
        <v>0.36</v>
      </c>
      <c r="C33">
        <f>0.38+0.4</f>
        <v>0.78</v>
      </c>
      <c r="D33">
        <f t="shared" si="4"/>
        <v>0.2808</v>
      </c>
    </row>
    <row r="34" spans="1:4" ht="15">
      <c r="A34" t="s">
        <v>20</v>
      </c>
      <c r="B34">
        <v>0.4</v>
      </c>
      <c r="C34">
        <v>1</v>
      </c>
      <c r="D34">
        <f t="shared" si="4"/>
        <v>0.4</v>
      </c>
    </row>
    <row r="35" ht="15">
      <c r="D35">
        <f>SUM(D30:D34)</f>
        <v>1.0242</v>
      </c>
    </row>
  </sheetData>
  <printOptions/>
  <pageMargins left="0.7" right="0.7" top="0.75" bottom="0.75" header="0.3" footer="0.3"/>
  <pageSetup horizontalDpi="600" verticalDpi="600" orientation="portrait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User</cp:lastModifiedBy>
  <dcterms:created xsi:type="dcterms:W3CDTF">2014-11-21T23:57:29Z</dcterms:created>
  <dcterms:modified xsi:type="dcterms:W3CDTF">2018-02-01T18:47:45Z</dcterms:modified>
  <cp:category/>
  <cp:version/>
  <cp:contentType/>
  <cp:contentStatus/>
</cp:coreProperties>
</file>